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aghilzade\Desktop\"/>
    </mc:Choice>
  </mc:AlternateContent>
  <xr:revisionPtr revIDLastSave="0" documentId="8_{3566BE58-1907-4DFD-A78C-A4EA56012962}" xr6:coauthVersionLast="47" xr6:coauthVersionMax="47" xr10:uidLastSave="{00000000-0000-0000-0000-000000000000}"/>
  <bookViews>
    <workbookView xWindow="-20520" yWindow="-120" windowWidth="20640" windowHeight="11160" firstSheet="1" activeTab="1" xr2:uid="{00000000-000D-0000-FFFF-FFFF00000000}"/>
  </bookViews>
  <sheets>
    <sheet name="کارکنان1401" sheetId="1" state="hidden" r:id="rId1"/>
    <sheet name="کارکنان1402 " sheetId="3" r:id="rId2"/>
  </sheets>
  <definedNames>
    <definedName name="_xlnm._FilterDatabase" localSheetId="0" hidden="1">کارکنان1401!$E$3:$I$11</definedName>
    <definedName name="_xlnm._FilterDatabase" localSheetId="1" hidden="1">'کارکنان1402 '!$E$4:$I$14</definedName>
    <definedName name="_xlnm.Print_Area" localSheetId="1">'کارکنان1402 '!$A$1:$Z$14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5" i="3" l="1"/>
  <c r="P3" i="3"/>
  <c r="N7" i="3" s="1"/>
  <c r="M6" i="3"/>
  <c r="M7" i="3"/>
  <c r="M8" i="3"/>
  <c r="M9" i="3"/>
  <c r="M10" i="3"/>
  <c r="M11" i="3"/>
  <c r="M12" i="3"/>
  <c r="M13" i="3"/>
  <c r="L6" i="3"/>
  <c r="L7" i="3"/>
  <c r="L8" i="3"/>
  <c r="L9" i="3"/>
  <c r="L10" i="3"/>
  <c r="L11" i="3"/>
  <c r="L12" i="3"/>
  <c r="L13" i="3"/>
  <c r="L5" i="3"/>
  <c r="U14" i="3"/>
  <c r="O5" i="3" l="1"/>
  <c r="O13" i="3"/>
  <c r="N12" i="3"/>
  <c r="P10" i="3"/>
  <c r="O9" i="3"/>
  <c r="N8" i="3"/>
  <c r="P6" i="3"/>
  <c r="P5" i="3"/>
  <c r="N13" i="3"/>
  <c r="P11" i="3"/>
  <c r="O10" i="3"/>
  <c r="N9" i="3"/>
  <c r="Q9" i="3" s="1"/>
  <c r="P7" i="3"/>
  <c r="O6" i="3"/>
  <c r="N5" i="3"/>
  <c r="P12" i="3"/>
  <c r="Q12" i="3" s="1"/>
  <c r="T12" i="3" s="1"/>
  <c r="R12" i="3" s="1"/>
  <c r="O11" i="3"/>
  <c r="N10" i="3"/>
  <c r="P8" i="3"/>
  <c r="O7" i="3"/>
  <c r="Q7" i="3" s="1"/>
  <c r="N6" i="3"/>
  <c r="P13" i="3"/>
  <c r="O12" i="3"/>
  <c r="N11" i="3"/>
  <c r="Q11" i="3" s="1"/>
  <c r="P9" i="3"/>
  <c r="O8" i="3"/>
  <c r="Q8" i="3" l="1"/>
  <c r="T8" i="3" s="1"/>
  <c r="R8" i="3" s="1"/>
  <c r="Q13" i="3"/>
  <c r="T13" i="3" s="1"/>
  <c r="R13" i="3" s="1"/>
  <c r="N14" i="3"/>
  <c r="P14" i="3"/>
  <c r="Q10" i="3"/>
  <c r="Q6" i="3"/>
  <c r="Y6" i="3" s="1"/>
  <c r="O14" i="3"/>
  <c r="Q5" i="3"/>
  <c r="T5" i="3" s="1"/>
  <c r="R5" i="3" s="1"/>
  <c r="S5" i="3" s="1"/>
  <c r="W5" i="3" s="1"/>
  <c r="Y7" i="3"/>
  <c r="X7" i="3"/>
  <c r="Y9" i="3"/>
  <c r="X9" i="3"/>
  <c r="Y11" i="3"/>
  <c r="X11" i="3"/>
  <c r="X8" i="3"/>
  <c r="Y8" i="3"/>
  <c r="Y10" i="3"/>
  <c r="X10" i="3"/>
  <c r="X13" i="3"/>
  <c r="Y13" i="3"/>
  <c r="X12" i="3"/>
  <c r="Y12" i="3"/>
  <c r="T11" i="3"/>
  <c r="R11" i="3" s="1"/>
  <c r="S11" i="3" s="1"/>
  <c r="W11" i="3" s="1"/>
  <c r="T10" i="3"/>
  <c r="R10" i="3" s="1"/>
  <c r="S10" i="3" s="1"/>
  <c r="W10" i="3" s="1"/>
  <c r="T9" i="3"/>
  <c r="R9" i="3" s="1"/>
  <c r="S9" i="3" s="1"/>
  <c r="W9" i="3" s="1"/>
  <c r="T7" i="3"/>
  <c r="R7" i="3" s="1"/>
  <c r="S7" i="3" s="1"/>
  <c r="W7" i="3" s="1"/>
  <c r="S12" i="3"/>
  <c r="W12" i="3" s="1"/>
  <c r="L14" i="3"/>
  <c r="S13" i="3"/>
  <c r="W13" i="3" s="1"/>
  <c r="S8" i="3"/>
  <c r="W8" i="3" s="1"/>
  <c r="V14" i="3"/>
  <c r="M4" i="1"/>
  <c r="Q4" i="1" s="1"/>
  <c r="K11" i="1"/>
  <c r="L11" i="1"/>
  <c r="N11" i="1"/>
  <c r="O11" i="1"/>
  <c r="P11" i="1"/>
  <c r="U11" i="1"/>
  <c r="J11" i="1"/>
  <c r="M10" i="1"/>
  <c r="Q10" i="1" s="1"/>
  <c r="W10" i="1" s="1"/>
  <c r="M5" i="1"/>
  <c r="M6" i="1"/>
  <c r="M7" i="1"/>
  <c r="M8" i="1"/>
  <c r="M9" i="1"/>
  <c r="Q9" i="1" s="1"/>
  <c r="Q14" i="3" l="1"/>
  <c r="X6" i="3"/>
  <c r="T6" i="3"/>
  <c r="R6" i="3" s="1"/>
  <c r="S6" i="3" s="1"/>
  <c r="W6" i="3" s="1"/>
  <c r="Y5" i="3"/>
  <c r="Y14" i="3" s="1"/>
  <c r="X5" i="3"/>
  <c r="Z12" i="3"/>
  <c r="Z6" i="3"/>
  <c r="W14" i="3"/>
  <c r="Z10" i="3"/>
  <c r="Z9" i="3"/>
  <c r="Z13" i="3"/>
  <c r="Z8" i="3"/>
  <c r="Z11" i="3"/>
  <c r="Z7" i="3"/>
  <c r="M14" i="3"/>
  <c r="R14" i="3"/>
  <c r="X4" i="1"/>
  <c r="W4" i="1"/>
  <c r="Y4" i="1" s="1"/>
  <c r="T4" i="1"/>
  <c r="R4" i="1" s="1"/>
  <c r="S4" i="1" s="1"/>
  <c r="V4" i="1" s="1"/>
  <c r="M11" i="1"/>
  <c r="X10" i="1"/>
  <c r="T10" i="1"/>
  <c r="Y10" i="1"/>
  <c r="Z5" i="3" l="1"/>
  <c r="Z14" i="3" s="1"/>
  <c r="X14" i="3"/>
  <c r="S14" i="3"/>
  <c r="T14" i="3"/>
  <c r="Z4" i="1"/>
  <c r="R10" i="1"/>
  <c r="Z10" i="1"/>
  <c r="S10" i="1" l="1"/>
  <c r="Q8" i="1"/>
  <c r="Q7" i="1"/>
  <c r="Q11" i="1" l="1"/>
  <c r="V10" i="1"/>
  <c r="T8" i="1"/>
  <c r="S6" i="1"/>
  <c r="T9" i="1"/>
  <c r="R9" i="1" s="1"/>
  <c r="T7" i="1"/>
  <c r="X5" i="1"/>
  <c r="X9" i="1"/>
  <c r="X7" i="1"/>
  <c r="X8" i="1"/>
  <c r="X6" i="1"/>
  <c r="W6" i="1"/>
  <c r="Y6" i="1" s="1"/>
  <c r="W5" i="1"/>
  <c r="Y5" i="1" s="1"/>
  <c r="W9" i="1"/>
  <c r="Y9" i="1" s="1"/>
  <c r="W7" i="1"/>
  <c r="Y7" i="1" s="1"/>
  <c r="W8" i="1"/>
  <c r="Y8" i="1" s="1"/>
  <c r="Y11" i="1" l="1"/>
  <c r="W11" i="1"/>
  <c r="T11" i="1"/>
  <c r="X11" i="1"/>
  <c r="R8" i="1"/>
  <c r="S8" i="1" s="1"/>
  <c r="V8" i="1" s="1"/>
  <c r="V5" i="1"/>
  <c r="R7" i="1"/>
  <c r="S7" i="1" s="1"/>
  <c r="V7" i="1" s="1"/>
  <c r="V6" i="1"/>
  <c r="Z5" i="1"/>
  <c r="Z8" i="1"/>
  <c r="Z7" i="1"/>
  <c r="Z6" i="1"/>
  <c r="Z9" i="1"/>
  <c r="Z11" i="1" l="1"/>
  <c r="R11" i="1"/>
  <c r="S9" i="1"/>
  <c r="V9" i="1" s="1"/>
  <c r="S11" i="1" l="1"/>
  <c r="V11" i="1"/>
</calcChain>
</file>

<file path=xl/sharedStrings.xml><?xml version="1.0" encoding="utf-8"?>
<sst xmlns="http://schemas.openxmlformats.org/spreadsheetml/2006/main" count="83" uniqueCount="66">
  <si>
    <t>ردیف</t>
  </si>
  <si>
    <t xml:space="preserve">نام </t>
  </si>
  <si>
    <t>نام خانوادگی</t>
  </si>
  <si>
    <t>جمع حقوق و مزایا</t>
  </si>
  <si>
    <t>عیدی</t>
  </si>
  <si>
    <t>حق شخص</t>
  </si>
  <si>
    <t>معیشت</t>
  </si>
  <si>
    <t>بن</t>
  </si>
  <si>
    <t>اولاد</t>
  </si>
  <si>
    <t>مسکن</t>
  </si>
  <si>
    <t>بهرام</t>
  </si>
  <si>
    <t>شاه محمدی</t>
  </si>
  <si>
    <t>عباس</t>
  </si>
  <si>
    <t>مریم</t>
  </si>
  <si>
    <t>کریمیان کاکلکی</t>
  </si>
  <si>
    <t>امیرحسین</t>
  </si>
  <si>
    <t>معیری کاشانی</t>
  </si>
  <si>
    <t xml:space="preserve">امیرمهدی </t>
  </si>
  <si>
    <t>ملکی</t>
  </si>
  <si>
    <t>عوامل حقوقی سال 1401</t>
  </si>
  <si>
    <t>تعداد اولاد</t>
  </si>
  <si>
    <t>سنوات</t>
  </si>
  <si>
    <t xml:space="preserve">بهای تمام شده </t>
  </si>
  <si>
    <t>بیمه سهم کارفرما</t>
  </si>
  <si>
    <t xml:space="preserve">حقوق </t>
  </si>
  <si>
    <t>بیمه سهم کارمند</t>
  </si>
  <si>
    <t>خالص حقوق سال 1401</t>
  </si>
  <si>
    <t>مالیات حقوق</t>
  </si>
  <si>
    <t>مشمول مالیات</t>
  </si>
  <si>
    <t>کسورات</t>
  </si>
  <si>
    <t>سایر کسورات</t>
  </si>
  <si>
    <t xml:space="preserve">ساعت اضافه کار </t>
  </si>
  <si>
    <t xml:space="preserve">اضافه کار </t>
  </si>
  <si>
    <t>زهرا</t>
  </si>
  <si>
    <t>سید صالحی</t>
  </si>
  <si>
    <t>مهدی</t>
  </si>
  <si>
    <t>ایلکا</t>
  </si>
  <si>
    <t>نیروهای پاره وقت</t>
  </si>
  <si>
    <t>خالص پرداختی به ریال</t>
  </si>
  <si>
    <t>جمع حقوق و
 مزایای ثابت</t>
  </si>
  <si>
    <t>جمع کل</t>
  </si>
  <si>
    <t>عوامل حقوقی سال 1402</t>
  </si>
  <si>
    <t>بیمه تکمیلی سهم کارمند</t>
  </si>
  <si>
    <t>تعداد روز کارکرد</t>
  </si>
  <si>
    <t xml:space="preserve">دستمزد روزانه </t>
  </si>
  <si>
    <t>بن کارگری</t>
  </si>
  <si>
    <t>بیمه بیکاری</t>
  </si>
  <si>
    <t xml:space="preserve">حق بیمه پرداختنی </t>
  </si>
  <si>
    <t xml:space="preserve">حقوق پرداختنی </t>
  </si>
  <si>
    <t>ماه</t>
  </si>
  <si>
    <t>فروردین</t>
  </si>
  <si>
    <t>اردیبهشت</t>
  </si>
  <si>
    <t>خرداد</t>
  </si>
  <si>
    <t>تیر</t>
  </si>
  <si>
    <t>مرداد</t>
  </si>
  <si>
    <t>شهریور</t>
  </si>
  <si>
    <t>مهر</t>
  </si>
  <si>
    <t>آبان</t>
  </si>
  <si>
    <t>آذر</t>
  </si>
  <si>
    <t xml:space="preserve">دی </t>
  </si>
  <si>
    <t>بهمن</t>
  </si>
  <si>
    <t>اسفند</t>
  </si>
  <si>
    <t>لیست محاسبه حقوق دستمزد سال 1402</t>
  </si>
  <si>
    <t>https://hesabnamaa.ir/</t>
  </si>
  <si>
    <t>https://t.me/hesabnamaa</t>
  </si>
  <si>
    <t>https://www.instagram.com/hesabnama.ir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</si>
</sst>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11"/>
      <color theme="1"/>
      <name val="Calibri"/>
      <family val="2"/>
      <scheme val="minor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b/>
      <sz val="8"/>
      <color theme="1"/>
      <name val="B Nazanin"/>
      <charset val="178"/>
    </font>
    <font>
      <sz val="11"/>
      <color theme="1"/>
      <name val="Calibri"/>
      <family val="2"/>
      <charset val="178"/>
      <scheme val="minor"/>
    </font>
    <font>
      <sz val="11"/>
      <color theme="1"/>
      <name val="B Titr"/>
      <charset val="178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B Nazanin"/>
      <charset val="178"/>
    </font>
    <font>
      <sz val="24"/>
      <color theme="1"/>
      <name val="B Titr"/>
      <charset val="178"/>
    </font>
    <font>
      <u/>
      <sz val="11"/>
      <color theme="10"/>
      <name val="Calibri"/>
      <family val="2"/>
      <scheme val="minor"/>
    </font>
    <font>
      <u/>
      <sz val="26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6" fillId="4" borderId="0" applyNumberFormat="0" applyBorder="0" applyAlignment="0" applyProtection="0"/>
    <xf numFmtId="0" fontId="11" fillId="0" borderId="0" applyNumberForma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vertical="center" wrapText="1"/>
    </xf>
    <xf numFmtId="3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/>
    </xf>
    <xf numFmtId="3" fontId="1" fillId="3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3" fontId="1" fillId="0" borderId="1" xfId="0" applyNumberFormat="1" applyFont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/>
    </xf>
    <xf numFmtId="3" fontId="1" fillId="3" borderId="1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0" fillId="0" borderId="1" xfId="0" applyNumberFormat="1" applyBorder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3" fontId="6" fillId="4" borderId="0" xfId="2" applyNumberFormat="1" applyAlignment="1">
      <alignment horizontal="right" vertical="center"/>
    </xf>
    <xf numFmtId="0" fontId="0" fillId="0" borderId="2" xfId="0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20" xfId="0" applyNumberFormat="1" applyFont="1" applyBorder="1" applyAlignment="1">
      <alignment horizontal="center" vertical="center" wrapText="1"/>
    </xf>
    <xf numFmtId="3" fontId="2" fillId="0" borderId="21" xfId="0" applyNumberFormat="1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9" fillId="5" borderId="13" xfId="0" applyFont="1" applyFill="1" applyBorder="1" applyAlignment="1">
      <alignment vertical="center" wrapText="1"/>
    </xf>
    <xf numFmtId="3" fontId="8" fillId="0" borderId="0" xfId="0" applyNumberFormat="1" applyFont="1" applyAlignment="1">
      <alignment horizontal="right" vertical="center"/>
    </xf>
    <xf numFmtId="0" fontId="8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3" fontId="0" fillId="0" borderId="1" xfId="0" applyNumberFormat="1" applyBorder="1" applyAlignment="1" applyProtection="1">
      <alignment horizontal="right" vertical="center"/>
      <protection locked="0"/>
    </xf>
    <xf numFmtId="3" fontId="1" fillId="0" borderId="1" xfId="0" applyNumberFormat="1" applyFont="1" applyBorder="1" applyAlignment="1" applyProtection="1">
      <alignment horizontal="center"/>
      <protection locked="0"/>
    </xf>
    <xf numFmtId="3" fontId="1" fillId="3" borderId="2" xfId="0" applyNumberFormat="1" applyFont="1" applyFill="1" applyBorder="1" applyAlignment="1" applyProtection="1">
      <alignment horizontal="center"/>
      <protection locked="0"/>
    </xf>
    <xf numFmtId="3" fontId="1" fillId="0" borderId="22" xfId="0" applyNumberFormat="1" applyFont="1" applyBorder="1" applyAlignment="1" applyProtection="1">
      <alignment horizontal="center"/>
      <protection locked="0"/>
    </xf>
    <xf numFmtId="3" fontId="0" fillId="0" borderId="5" xfId="0" applyNumberFormat="1" applyBorder="1" applyAlignment="1" applyProtection="1">
      <alignment horizontal="right" vertical="center"/>
      <protection locked="0"/>
    </xf>
    <xf numFmtId="3" fontId="1" fillId="0" borderId="5" xfId="0" applyNumberFormat="1" applyFont="1" applyBorder="1" applyAlignment="1" applyProtection="1">
      <alignment horizontal="center"/>
      <protection locked="0"/>
    </xf>
    <xf numFmtId="3" fontId="1" fillId="3" borderId="14" xfId="0" applyNumberFormat="1" applyFont="1" applyFill="1" applyBorder="1" applyAlignment="1" applyProtection="1">
      <alignment horizontal="center"/>
      <protection locked="0"/>
    </xf>
    <xf numFmtId="3" fontId="1" fillId="0" borderId="24" xfId="0" applyNumberFormat="1" applyFont="1" applyBorder="1" applyAlignment="1" applyProtection="1">
      <alignment horizontal="center"/>
      <protection locked="0"/>
    </xf>
    <xf numFmtId="3" fontId="1" fillId="0" borderId="25" xfId="0" applyNumberFormat="1" applyFont="1" applyBorder="1" applyAlignment="1" applyProtection="1">
      <alignment horizontal="center"/>
      <protection locked="0"/>
    </xf>
    <xf numFmtId="3" fontId="1" fillId="5" borderId="1" xfId="0" applyNumberFormat="1" applyFont="1" applyFill="1" applyBorder="1" applyAlignment="1" applyProtection="1">
      <alignment horizontal="center"/>
      <protection locked="0"/>
    </xf>
    <xf numFmtId="3" fontId="1" fillId="5" borderId="5" xfId="0" applyNumberFormat="1" applyFont="1" applyFill="1" applyBorder="1" applyAlignment="1" applyProtection="1">
      <alignment horizontal="center"/>
      <protection locked="0"/>
    </xf>
    <xf numFmtId="3" fontId="1" fillId="0" borderId="22" xfId="0" applyNumberFormat="1" applyFont="1" applyBorder="1" applyAlignment="1" applyProtection="1">
      <alignment horizontal="center"/>
      <protection hidden="1"/>
    </xf>
    <xf numFmtId="3" fontId="1" fillId="0" borderId="1" xfId="0" applyNumberFormat="1" applyFont="1" applyBorder="1" applyAlignment="1" applyProtection="1">
      <alignment horizontal="center"/>
      <protection hidden="1"/>
    </xf>
    <xf numFmtId="3" fontId="1" fillId="0" borderId="23" xfId="0" applyNumberFormat="1" applyFont="1" applyBorder="1" applyAlignment="1" applyProtection="1">
      <alignment horizontal="center"/>
      <protection hidden="1"/>
    </xf>
    <xf numFmtId="3" fontId="1" fillId="0" borderId="17" xfId="0" applyNumberFormat="1" applyFont="1" applyBorder="1" applyAlignment="1" applyProtection="1">
      <alignment horizontal="center"/>
      <protection hidden="1"/>
    </xf>
    <xf numFmtId="3" fontId="1" fillId="0" borderId="28" xfId="0" applyNumberFormat="1" applyFont="1" applyBorder="1" applyAlignment="1" applyProtection="1">
      <alignment horizontal="center"/>
      <protection hidden="1"/>
    </xf>
    <xf numFmtId="3" fontId="1" fillId="0" borderId="4" xfId="0" applyNumberFormat="1" applyFont="1" applyBorder="1" applyAlignment="1" applyProtection="1">
      <alignment horizontal="center"/>
      <protection hidden="1"/>
    </xf>
    <xf numFmtId="3" fontId="5" fillId="2" borderId="1" xfId="0" applyNumberFormat="1" applyFont="1" applyFill="1" applyBorder="1" applyAlignment="1" applyProtection="1">
      <alignment horizontal="center"/>
      <protection hidden="1"/>
    </xf>
    <xf numFmtId="3" fontId="1" fillId="0" borderId="6" xfId="0" applyNumberFormat="1" applyFont="1" applyBorder="1" applyAlignment="1" applyProtection="1">
      <alignment horizontal="center"/>
      <protection hidden="1"/>
    </xf>
    <xf numFmtId="0" fontId="0" fillId="0" borderId="8" xfId="0" applyBorder="1" applyAlignment="1" applyProtection="1">
      <alignment horizontal="center"/>
      <protection hidden="1"/>
    </xf>
    <xf numFmtId="0" fontId="0" fillId="0" borderId="9" xfId="0" applyBorder="1" applyAlignment="1" applyProtection="1">
      <alignment horizontal="center"/>
      <protection hidden="1"/>
    </xf>
    <xf numFmtId="0" fontId="0" fillId="0" borderId="13" xfId="0" applyBorder="1" applyAlignment="1" applyProtection="1">
      <alignment horizontal="center"/>
      <protection hidden="1"/>
    </xf>
    <xf numFmtId="0" fontId="0" fillId="0" borderId="9" xfId="0" applyBorder="1" applyAlignment="1" applyProtection="1">
      <alignment horizontal="center"/>
      <protection hidden="1"/>
    </xf>
    <xf numFmtId="3" fontId="1" fillId="0" borderId="10" xfId="0" applyNumberFormat="1" applyFont="1" applyBorder="1" applyAlignment="1" applyProtection="1">
      <alignment horizontal="center" vertical="center"/>
      <protection hidden="1"/>
    </xf>
    <xf numFmtId="3" fontId="1" fillId="0" borderId="11" xfId="0" applyNumberFormat="1" applyFont="1" applyBorder="1" applyAlignment="1" applyProtection="1">
      <alignment horizontal="center"/>
      <protection hidden="1"/>
    </xf>
    <xf numFmtId="3" fontId="1" fillId="0" borderId="11" xfId="0" applyNumberFormat="1" applyFont="1" applyBorder="1" applyAlignment="1" applyProtection="1">
      <alignment horizontal="center" vertical="center"/>
      <protection hidden="1"/>
    </xf>
    <xf numFmtId="3" fontId="1" fillId="0" borderId="15" xfId="0" applyNumberFormat="1" applyFont="1" applyBorder="1" applyAlignment="1" applyProtection="1">
      <alignment horizontal="center"/>
      <protection hidden="1"/>
    </xf>
    <xf numFmtId="3" fontId="1" fillId="0" borderId="7" xfId="0" applyNumberFormat="1" applyFont="1" applyBorder="1" applyAlignment="1" applyProtection="1">
      <alignment horizontal="center" vertical="center"/>
      <protection hidden="1"/>
    </xf>
    <xf numFmtId="3" fontId="5" fillId="2" borderId="11" xfId="0" applyNumberFormat="1" applyFont="1" applyFill="1" applyBorder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12" fillId="0" borderId="0" xfId="3" applyFont="1" applyAlignment="1" applyProtection="1">
      <alignment horizontal="center" vertical="top" wrapText="1"/>
      <protection hidden="1"/>
    </xf>
    <xf numFmtId="0" fontId="12" fillId="0" borderId="30" xfId="3" applyFont="1" applyBorder="1" applyAlignment="1" applyProtection="1">
      <alignment horizontal="center" vertical="top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locked="0"/>
    </xf>
  </cellXfs>
  <cellStyles count="4">
    <cellStyle name="Hyperlink" xfId="3" builtinId="8"/>
    <cellStyle name="Neutral" xfId="2" builtinId="28"/>
    <cellStyle name="Normal" xfId="0" builtinId="0"/>
    <cellStyle name="Normal 3" xfId="1" xr:uid="{00000000-0005-0000-0000-000001000000}"/>
  </cellStyles>
  <dxfs count="0"/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489856</xdr:colOff>
      <xdr:row>1</xdr:row>
      <xdr:rowOff>476250</xdr:rowOff>
    </xdr:from>
    <xdr:to>
      <xdr:col>16</xdr:col>
      <xdr:colOff>272143</xdr:colOff>
      <xdr:row>1</xdr:row>
      <xdr:rowOff>843643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CDF29E0-7B9C-7237-600D-CAEB8CADAA1C}"/>
            </a:ext>
          </a:extLst>
        </xdr:cNvPr>
        <xdr:cNvSpPr txBox="1"/>
      </xdr:nvSpPr>
      <xdr:spPr>
        <a:xfrm>
          <a:off x="9577822929" y="1088571"/>
          <a:ext cx="2286001" cy="3673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rtl="1"/>
          <a:r>
            <a:rPr lang="fa-IR" sz="1600">
              <a:cs typeface="B Titr" panose="00000700000000000000" pitchFamily="2" charset="-78"/>
            </a:rPr>
            <a:t>کاری از گروه</a:t>
          </a:r>
          <a:r>
            <a:rPr lang="fa-IR" sz="1600" baseline="0">
              <a:cs typeface="B Titr" panose="00000700000000000000" pitchFamily="2" charset="-78"/>
            </a:rPr>
            <a:t> مالی حساب نما</a:t>
          </a:r>
          <a:endParaRPr lang="en-US" sz="1600">
            <a:cs typeface="B Titr" panose="00000700000000000000" pitchFamily="2" charset="-78"/>
          </a:endParaRPr>
        </a:p>
      </xdr:txBody>
    </xdr:sp>
    <xdr:clientData/>
  </xdr:twoCellAnchor>
  <xdr:twoCellAnchor>
    <xdr:from>
      <xdr:col>19</xdr:col>
      <xdr:colOff>605518</xdr:colOff>
      <xdr:row>1</xdr:row>
      <xdr:rowOff>439965</xdr:rowOff>
    </xdr:from>
    <xdr:to>
      <xdr:col>23</xdr:col>
      <xdr:colOff>825499</xdr:colOff>
      <xdr:row>1</xdr:row>
      <xdr:rowOff>857251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1F76A6A-2515-49F1-BE16-8F08F79060CE}"/>
            </a:ext>
          </a:extLst>
        </xdr:cNvPr>
        <xdr:cNvSpPr txBox="1"/>
      </xdr:nvSpPr>
      <xdr:spPr>
        <a:xfrm>
          <a:off x="9608629501" y="1043215"/>
          <a:ext cx="3347356" cy="4172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rtl="1"/>
          <a:r>
            <a:rPr lang="fa-IR" sz="1600">
              <a:cs typeface="B Titr" panose="00000700000000000000" pitchFamily="2" charset="-78"/>
            </a:rPr>
            <a:t>برای</a:t>
          </a:r>
          <a:r>
            <a:rPr lang="fa-IR" sz="1600" baseline="0">
              <a:cs typeface="B Titr" panose="00000700000000000000" pitchFamily="2" charset="-78"/>
            </a:rPr>
            <a:t> مشاوره رایگان با ما در ارتباط باشید </a:t>
          </a:r>
          <a:endParaRPr lang="en-US" sz="1600">
            <a:cs typeface="B Titr" panose="00000700000000000000" pitchFamily="2" charset="-78"/>
          </a:endParaRPr>
        </a:p>
      </xdr:txBody>
    </xdr:sp>
    <xdr:clientData/>
  </xdr:twoCellAnchor>
  <xdr:twoCellAnchor>
    <xdr:from>
      <xdr:col>6</xdr:col>
      <xdr:colOff>0</xdr:colOff>
      <xdr:row>1</xdr:row>
      <xdr:rowOff>460375</xdr:rowOff>
    </xdr:from>
    <xdr:to>
      <xdr:col>10</xdr:col>
      <xdr:colOff>476250</xdr:colOff>
      <xdr:row>1</xdr:row>
      <xdr:rowOff>920750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799371DC-3DB1-4CC0-A77C-C66D2F245CF4}"/>
            </a:ext>
          </a:extLst>
        </xdr:cNvPr>
        <xdr:cNvSpPr txBox="1"/>
      </xdr:nvSpPr>
      <xdr:spPr>
        <a:xfrm>
          <a:off x="9619916625" y="1063625"/>
          <a:ext cx="3317875" cy="460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rtl="1"/>
          <a:r>
            <a:rPr lang="fa-IR" sz="1600">
              <a:cs typeface="B Titr" panose="00000700000000000000" pitchFamily="2" charset="-78"/>
            </a:rPr>
            <a:t>مشاهده</a:t>
          </a:r>
          <a:r>
            <a:rPr lang="fa-IR" sz="1600" baseline="0">
              <a:cs typeface="B Titr" panose="00000700000000000000" pitchFamily="2" charset="-78"/>
            </a:rPr>
            <a:t> آموزش های بیشتر در اینستاگرام</a:t>
          </a:r>
          <a:endParaRPr lang="en-US" sz="1600">
            <a:cs typeface="B Titr" panose="00000700000000000000" pitchFamily="2" charset="-7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nstagram.com/hesabnama.ir/?utm_source=ig_web_button_share_sheet&amp;igshid=OGQ5ZDc2ODk2ZA==" TargetMode="External"/><Relationship Id="rId2" Type="http://schemas.openxmlformats.org/officeDocument/2006/relationships/hyperlink" Target="https://t.me/hesabnamaa" TargetMode="External"/><Relationship Id="rId1" Type="http://schemas.openxmlformats.org/officeDocument/2006/relationships/hyperlink" Target="https://hesabnamaa.ir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www.instagram.com/hesabnama.i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0"/>
  <sheetViews>
    <sheetView rightToLeft="1" topLeftCell="K1" zoomScaleNormal="100" workbookViewId="0">
      <selection activeCell="W5" sqref="W5"/>
    </sheetView>
  </sheetViews>
  <sheetFormatPr defaultColWidth="8.85546875" defaultRowHeight="15" x14ac:dyDescent="0.25"/>
  <cols>
    <col min="1" max="1" width="5.85546875" hidden="1" customWidth="1"/>
    <col min="2" max="2" width="10.42578125" hidden="1" customWidth="1"/>
    <col min="3" max="3" width="11" hidden="1" customWidth="1"/>
    <col min="4" max="4" width="11.42578125" hidden="1" customWidth="1"/>
    <col min="5" max="5" width="4.140625" customWidth="1"/>
    <col min="6" max="6" width="13.85546875" bestFit="1" customWidth="1"/>
    <col min="7" max="7" width="12.42578125" bestFit="1" customWidth="1"/>
    <col min="8" max="8" width="7.85546875" bestFit="1" customWidth="1"/>
    <col min="9" max="9" width="11.140625" bestFit="1" customWidth="1"/>
    <col min="10" max="10" width="11.42578125" bestFit="1" customWidth="1"/>
    <col min="11" max="11" width="11.140625" bestFit="1" customWidth="1"/>
    <col min="12" max="12" width="9.85546875" bestFit="1" customWidth="1"/>
    <col min="13" max="14" width="11.85546875" customWidth="1"/>
    <col min="15" max="15" width="9.85546875" customWidth="1"/>
    <col min="16" max="16" width="9.85546875" bestFit="1" customWidth="1"/>
    <col min="17" max="17" width="13.5703125" customWidth="1"/>
    <col min="18" max="18" width="12.42578125" customWidth="1"/>
    <col min="19" max="19" width="12.85546875" customWidth="1"/>
    <col min="20" max="20" width="10.7109375" bestFit="1" customWidth="1"/>
    <col min="21" max="21" width="9.42578125" customWidth="1"/>
    <col min="22" max="22" width="15.85546875" customWidth="1"/>
    <col min="23" max="24" width="9.85546875" bestFit="1" customWidth="1"/>
    <col min="25" max="25" width="11.42578125" bestFit="1" customWidth="1"/>
    <col min="26" max="26" width="12.140625" bestFit="1" customWidth="1"/>
    <col min="27" max="27" width="1.42578125" customWidth="1"/>
  </cols>
  <sheetData>
    <row r="1" spans="1:26" ht="12.6" customHeight="1" x14ac:dyDescent="0.25"/>
    <row r="2" spans="1:26" s="1" customFormat="1" ht="18.600000000000001" customHeight="1" x14ac:dyDescent="0.25">
      <c r="A2" s="3"/>
      <c r="B2" s="3"/>
      <c r="C2" s="3"/>
      <c r="D2" s="3"/>
      <c r="E2" s="36" t="s">
        <v>0</v>
      </c>
      <c r="F2" s="31" t="s">
        <v>1</v>
      </c>
      <c r="G2" s="31" t="s">
        <v>2</v>
      </c>
      <c r="H2" s="31" t="s">
        <v>20</v>
      </c>
      <c r="I2" s="32" t="s">
        <v>31</v>
      </c>
      <c r="J2" s="31" t="s">
        <v>19</v>
      </c>
      <c r="K2" s="31"/>
      <c r="L2" s="31"/>
      <c r="M2" s="31"/>
      <c r="N2" s="31"/>
      <c r="O2" s="31"/>
      <c r="P2" s="31"/>
      <c r="Q2" s="30" t="s">
        <v>3</v>
      </c>
      <c r="R2" s="29" t="s">
        <v>28</v>
      </c>
      <c r="S2" s="30" t="s">
        <v>29</v>
      </c>
      <c r="T2" s="30"/>
      <c r="U2" s="30"/>
      <c r="V2" s="38" t="s">
        <v>26</v>
      </c>
      <c r="W2" s="30" t="s">
        <v>21</v>
      </c>
      <c r="X2" s="30" t="s">
        <v>4</v>
      </c>
      <c r="Y2" s="30" t="s">
        <v>23</v>
      </c>
      <c r="Z2" s="30" t="s">
        <v>22</v>
      </c>
    </row>
    <row r="3" spans="1:26" s="1" customFormat="1" ht="30" x14ac:dyDescent="0.25">
      <c r="A3" s="3"/>
      <c r="B3" s="3"/>
      <c r="C3" s="3"/>
      <c r="D3" s="3"/>
      <c r="E3" s="37"/>
      <c r="F3" s="31"/>
      <c r="G3" s="31"/>
      <c r="H3" s="31"/>
      <c r="I3" s="32"/>
      <c r="J3" s="5" t="s">
        <v>24</v>
      </c>
      <c r="K3" s="5" t="s">
        <v>5</v>
      </c>
      <c r="L3" s="5" t="s">
        <v>6</v>
      </c>
      <c r="M3" s="5" t="s">
        <v>32</v>
      </c>
      <c r="N3" s="5" t="s">
        <v>7</v>
      </c>
      <c r="O3" s="5" t="s">
        <v>8</v>
      </c>
      <c r="P3" s="5" t="s">
        <v>9</v>
      </c>
      <c r="Q3" s="30"/>
      <c r="R3" s="29"/>
      <c r="S3" s="4" t="s">
        <v>27</v>
      </c>
      <c r="T3" s="4" t="s">
        <v>25</v>
      </c>
      <c r="U3" s="6" t="s">
        <v>30</v>
      </c>
      <c r="V3" s="38"/>
      <c r="W3" s="30"/>
      <c r="X3" s="30"/>
      <c r="Y3" s="30"/>
      <c r="Z3" s="30"/>
    </row>
    <row r="4" spans="1:26" ht="22.5" x14ac:dyDescent="0.6">
      <c r="A4" s="2"/>
      <c r="B4" s="2"/>
      <c r="C4" s="2"/>
      <c r="D4" s="2"/>
      <c r="E4" s="2">
        <v>7</v>
      </c>
      <c r="F4" s="14" t="s">
        <v>35</v>
      </c>
      <c r="G4" s="14" t="s">
        <v>36</v>
      </c>
      <c r="H4" s="2">
        <v>0</v>
      </c>
      <c r="I4" s="8"/>
      <c r="J4" s="2">
        <v>60213660</v>
      </c>
      <c r="K4" s="2"/>
      <c r="L4" s="2">
        <v>0</v>
      </c>
      <c r="M4" s="2">
        <f t="shared" ref="M4" si="0">(((J4+K4)/192)*1.4)*I4</f>
        <v>0</v>
      </c>
      <c r="N4" s="2">
        <v>8500000</v>
      </c>
      <c r="O4" s="2">
        <v>0</v>
      </c>
      <c r="P4" s="2">
        <v>6500000</v>
      </c>
      <c r="Q4" s="2">
        <f t="shared" ref="Q4" si="1">SUM(J4:P4)</f>
        <v>75213660</v>
      </c>
      <c r="R4" s="2">
        <f t="shared" ref="R4" si="2">Q4-((T4*2)/7)</f>
        <v>73709386.799999997</v>
      </c>
      <c r="S4" s="2">
        <f t="shared" ref="S4" si="3">IF(R4&lt;=56000000,0,IF(R4&lt;=150000000,(R4-56000000)*10%,IF(R4&lt;=250000000,9400000+(R4-150000000)*15%,IF(R4&lt;=350000000,24400000+(R4-250000000)*20%,44400000+(R4-350000000)*30%))))</f>
        <v>1770938.6799999997</v>
      </c>
      <c r="T4" s="2">
        <f t="shared" ref="T4" si="4">IF((Q4-O4)&gt;292582850,20480800,IF((Q4-O4)&lt;292582850,(Q4-O4)*7%))</f>
        <v>5264956.2</v>
      </c>
      <c r="U4" s="8"/>
      <c r="V4" s="11">
        <f t="shared" ref="V4" si="5">Q4-S4-T4-U4</f>
        <v>68177765.11999999</v>
      </c>
      <c r="W4" s="2">
        <f t="shared" ref="W4" si="6">Q4/12</f>
        <v>6267805</v>
      </c>
      <c r="X4" s="2">
        <f t="shared" ref="X4" si="7">IF(Q4*2&gt;125392500,Q4/12,IF(Q4*2&lt;125392500,(Q4*2)/12,0))</f>
        <v>6267805</v>
      </c>
      <c r="Y4" s="2">
        <f t="shared" ref="Y4" si="8">IF((W4-O4)&gt;292582850,67294055,IF(W4-Q4&lt;292582850,(Q4-O4)*23%))</f>
        <v>17299141.800000001</v>
      </c>
      <c r="Z4" s="2">
        <f t="shared" ref="Z4" si="9">Q4+SUM(W4:Y4)</f>
        <v>105048411.8</v>
      </c>
    </row>
    <row r="5" spans="1:26" ht="22.5" x14ac:dyDescent="0.6">
      <c r="A5" s="2"/>
      <c r="B5" s="2"/>
      <c r="C5" s="2"/>
      <c r="D5" s="2"/>
      <c r="E5" s="2">
        <v>3</v>
      </c>
      <c r="F5" s="14" t="s">
        <v>10</v>
      </c>
      <c r="G5" s="14" t="s">
        <v>11</v>
      </c>
      <c r="H5" s="2">
        <v>1</v>
      </c>
      <c r="I5" s="8"/>
      <c r="J5" s="2">
        <v>97577160</v>
      </c>
      <c r="K5" s="2">
        <v>43166641.5</v>
      </c>
      <c r="L5" s="2">
        <v>5863332.96</v>
      </c>
      <c r="M5" s="2">
        <f t="shared" ref="M5:M10" si="10">(((J5+K5)/192)*1.4)*I5</f>
        <v>0</v>
      </c>
      <c r="N5" s="2">
        <v>9000000</v>
      </c>
      <c r="O5" s="2">
        <v>5308284</v>
      </c>
      <c r="P5" s="2">
        <v>6500000</v>
      </c>
      <c r="Q5" s="2">
        <v>214166412</v>
      </c>
      <c r="R5" s="2">
        <v>186203986</v>
      </c>
      <c r="S5" s="2">
        <v>10930535</v>
      </c>
      <c r="T5" s="2">
        <v>14434279</v>
      </c>
      <c r="U5" s="8"/>
      <c r="V5" s="11">
        <f t="shared" ref="V5:V10" si="11">Q5-S5-T5-U5</f>
        <v>188801598</v>
      </c>
      <c r="W5" s="2">
        <f t="shared" ref="W5:W9" si="12">Q5/12</f>
        <v>17847201</v>
      </c>
      <c r="X5" s="2">
        <f t="shared" ref="X5:X9" si="13">IF(Q5*2&gt;125392500,Q5/12,IF(Q5*2&lt;125392500,(Q5*2)/12,0))</f>
        <v>17847201</v>
      </c>
      <c r="Y5" s="2">
        <f t="shared" ref="Y5:Y9" si="14">IF((W5-O5)&gt;292582850,67294055,IF(W5-Q5&lt;292582850,(Q5-O5)*23%))</f>
        <v>48037369.440000005</v>
      </c>
      <c r="Z5" s="2">
        <f t="shared" ref="Z5:Z9" si="15">Q5+SUM(W5:Y5)</f>
        <v>297898183.44</v>
      </c>
    </row>
    <row r="6" spans="1:26" ht="22.5" x14ac:dyDescent="0.6">
      <c r="A6" s="2"/>
      <c r="B6" s="2"/>
      <c r="C6" s="2"/>
      <c r="D6" s="2"/>
      <c r="E6" s="2">
        <v>4</v>
      </c>
      <c r="F6" s="14" t="s">
        <v>12</v>
      </c>
      <c r="G6" s="14" t="s">
        <v>11</v>
      </c>
      <c r="H6" s="2">
        <v>0</v>
      </c>
      <c r="I6" s="8"/>
      <c r="J6" s="2"/>
      <c r="K6" s="2">
        <v>0</v>
      </c>
      <c r="L6" s="2">
        <v>0</v>
      </c>
      <c r="M6" s="2">
        <f t="shared" si="10"/>
        <v>0</v>
      </c>
      <c r="N6" s="2">
        <v>9000000</v>
      </c>
      <c r="O6" s="2">
        <v>0</v>
      </c>
      <c r="P6" s="2">
        <v>6500000</v>
      </c>
      <c r="Q6" s="2">
        <v>107103632</v>
      </c>
      <c r="R6" s="2">
        <v>84449490</v>
      </c>
      <c r="S6" s="2">
        <f>IF(R6&lt;=56000000,0,IF(R6&lt;=150000000,(R6-56000000)*10%,IF(R6&lt;=250000000,9400000+(R6-150000000)*15%,IF(R6&lt;=350000000,24400000+(R6-250000000)*20%,44400000+(R6-350000000)*30%))))</f>
        <v>2844949</v>
      </c>
      <c r="T6" s="2">
        <v>7311646</v>
      </c>
      <c r="U6" s="8"/>
      <c r="V6" s="11">
        <f t="shared" si="11"/>
        <v>96947037</v>
      </c>
      <c r="W6" s="2">
        <f t="shared" si="12"/>
        <v>8925302.666666666</v>
      </c>
      <c r="X6" s="2">
        <f t="shared" si="13"/>
        <v>8925302.666666666</v>
      </c>
      <c r="Y6" s="2">
        <f t="shared" si="14"/>
        <v>24633835.359999999</v>
      </c>
      <c r="Z6" s="2">
        <f t="shared" si="15"/>
        <v>149588072.69333333</v>
      </c>
    </row>
    <row r="7" spans="1:26" ht="22.5" x14ac:dyDescent="0.6">
      <c r="A7" s="2"/>
      <c r="B7" s="2"/>
      <c r="C7" s="2"/>
      <c r="D7" s="2"/>
      <c r="E7" s="2">
        <v>5</v>
      </c>
      <c r="F7" s="14" t="s">
        <v>13</v>
      </c>
      <c r="G7" s="14" t="s">
        <v>14</v>
      </c>
      <c r="H7" s="2">
        <v>0</v>
      </c>
      <c r="I7" s="8"/>
      <c r="J7" s="2">
        <v>44481660</v>
      </c>
      <c r="K7" s="2">
        <v>0</v>
      </c>
      <c r="L7" s="2">
        <v>20</v>
      </c>
      <c r="M7" s="2">
        <f t="shared" si="10"/>
        <v>0</v>
      </c>
      <c r="N7" s="2">
        <v>8500000</v>
      </c>
      <c r="O7" s="2">
        <v>0</v>
      </c>
      <c r="P7" s="2">
        <v>6500000</v>
      </c>
      <c r="Q7" s="2">
        <f t="shared" ref="Q7:Q8" si="16">SUM(J7:P7)</f>
        <v>59481680</v>
      </c>
      <c r="R7" s="2">
        <f t="shared" ref="R7:R10" si="17">Q7-((T7*2)/7)</f>
        <v>58292046.399999999</v>
      </c>
      <c r="S7" s="2">
        <f t="shared" ref="S7:S10" si="18">IF(R7&lt;=56000000,0,IF(R7&lt;=150000000,(R7-56000000)*10%,IF(R7&lt;=250000000,9400000+(R7-150000000)*15%,IF(R7&lt;=350000000,24400000+(R7-250000000)*20%,44400000+(R7-350000000)*30%))))</f>
        <v>229204.63999999987</v>
      </c>
      <c r="T7" s="2">
        <f t="shared" ref="T7:T10" si="19">IF((Q7-O7)&gt;292582850,20480800,IF((Q7-O7)&lt;292582850,(Q7-O7)*7%))</f>
        <v>4163717.6000000006</v>
      </c>
      <c r="U7" s="8"/>
      <c r="V7" s="11">
        <f t="shared" si="11"/>
        <v>55088757.759999998</v>
      </c>
      <c r="W7" s="2">
        <f t="shared" si="12"/>
        <v>4956806.666666667</v>
      </c>
      <c r="X7" s="2">
        <f t="shared" si="13"/>
        <v>9913613.333333334</v>
      </c>
      <c r="Y7" s="2">
        <f t="shared" si="14"/>
        <v>13680786.4</v>
      </c>
      <c r="Z7" s="2">
        <f t="shared" si="15"/>
        <v>88032886.400000006</v>
      </c>
    </row>
    <row r="8" spans="1:26" ht="22.5" x14ac:dyDescent="0.6">
      <c r="A8" s="2"/>
      <c r="B8" s="2"/>
      <c r="C8" s="2"/>
      <c r="D8" s="2"/>
      <c r="E8" s="2">
        <v>7</v>
      </c>
      <c r="F8" s="14" t="s">
        <v>15</v>
      </c>
      <c r="G8" s="14" t="s">
        <v>16</v>
      </c>
      <c r="H8" s="2">
        <v>0</v>
      </c>
      <c r="I8" s="8"/>
      <c r="J8" s="2">
        <v>60213660</v>
      </c>
      <c r="K8" s="2">
        <v>0</v>
      </c>
      <c r="L8" s="2">
        <v>0</v>
      </c>
      <c r="M8" s="2">
        <f t="shared" si="10"/>
        <v>0</v>
      </c>
      <c r="N8" s="2">
        <v>8500000</v>
      </c>
      <c r="O8" s="2">
        <v>0</v>
      </c>
      <c r="P8" s="2">
        <v>6500000</v>
      </c>
      <c r="Q8" s="2">
        <f t="shared" si="16"/>
        <v>75213660</v>
      </c>
      <c r="R8" s="2">
        <f t="shared" si="17"/>
        <v>73709386.799999997</v>
      </c>
      <c r="S8" s="2">
        <f t="shared" si="18"/>
        <v>1770938.6799999997</v>
      </c>
      <c r="T8" s="2">
        <f t="shared" si="19"/>
        <v>5264956.2</v>
      </c>
      <c r="U8" s="8"/>
      <c r="V8" s="11">
        <f t="shared" si="11"/>
        <v>68177765.11999999</v>
      </c>
      <c r="W8" s="2">
        <f t="shared" si="12"/>
        <v>6267805</v>
      </c>
      <c r="X8" s="2">
        <f t="shared" si="13"/>
        <v>6267805</v>
      </c>
      <c r="Y8" s="2">
        <f t="shared" si="14"/>
        <v>17299141.800000001</v>
      </c>
      <c r="Z8" s="2">
        <f t="shared" si="15"/>
        <v>105048411.8</v>
      </c>
    </row>
    <row r="9" spans="1:26" ht="22.5" x14ac:dyDescent="0.6">
      <c r="A9" s="2"/>
      <c r="B9" s="2"/>
      <c r="C9" s="2"/>
      <c r="D9" s="2"/>
      <c r="E9" s="2">
        <v>8</v>
      </c>
      <c r="F9" s="14" t="s">
        <v>17</v>
      </c>
      <c r="G9" s="14" t="s">
        <v>18</v>
      </c>
      <c r="H9" s="2">
        <v>0</v>
      </c>
      <c r="I9" s="8"/>
      <c r="J9" s="2">
        <v>44481660</v>
      </c>
      <c r="K9" s="2">
        <v>0</v>
      </c>
      <c r="L9" s="2">
        <v>0</v>
      </c>
      <c r="M9" s="2">
        <f t="shared" si="10"/>
        <v>0</v>
      </c>
      <c r="N9" s="2">
        <v>8500000</v>
      </c>
      <c r="O9" s="2">
        <v>0</v>
      </c>
      <c r="P9" s="2">
        <v>6500000</v>
      </c>
      <c r="Q9" s="2">
        <f>SUM(J9:P9)</f>
        <v>59481660</v>
      </c>
      <c r="R9" s="2">
        <f>Q9-((T9*2)/7)</f>
        <v>58292026.799999997</v>
      </c>
      <c r="S9" s="2">
        <f t="shared" si="18"/>
        <v>229202.6799999997</v>
      </c>
      <c r="T9" s="2">
        <f t="shared" si="19"/>
        <v>4163716.2</v>
      </c>
      <c r="U9" s="8"/>
      <c r="V9" s="11">
        <f t="shared" si="11"/>
        <v>55088741.119999997</v>
      </c>
      <c r="W9" s="2">
        <f t="shared" si="12"/>
        <v>4956805</v>
      </c>
      <c r="X9" s="2">
        <f t="shared" si="13"/>
        <v>9913610</v>
      </c>
      <c r="Y9" s="2">
        <f t="shared" si="14"/>
        <v>13680781.800000001</v>
      </c>
      <c r="Z9" s="2">
        <f t="shared" si="15"/>
        <v>88032856.799999997</v>
      </c>
    </row>
    <row r="10" spans="1:26" ht="22.5" x14ac:dyDescent="0.6">
      <c r="A10" s="2"/>
      <c r="B10" s="2"/>
      <c r="C10" s="2"/>
      <c r="D10" s="2"/>
      <c r="E10" s="2">
        <v>9</v>
      </c>
      <c r="F10" s="14" t="s">
        <v>33</v>
      </c>
      <c r="G10" s="14" t="s">
        <v>34</v>
      </c>
      <c r="H10" s="2">
        <v>0</v>
      </c>
      <c r="I10" s="8"/>
      <c r="J10" s="2">
        <v>44481660</v>
      </c>
      <c r="K10" s="2">
        <v>0</v>
      </c>
      <c r="L10" s="2">
        <v>0</v>
      </c>
      <c r="M10" s="2">
        <f t="shared" si="10"/>
        <v>0</v>
      </c>
      <c r="N10" s="2">
        <v>8500000</v>
      </c>
      <c r="O10" s="2">
        <v>0</v>
      </c>
      <c r="P10" s="2">
        <v>6500000</v>
      </c>
      <c r="Q10" s="2">
        <f>SUM(J10:P10)</f>
        <v>59481660</v>
      </c>
      <c r="R10" s="2">
        <f t="shared" si="17"/>
        <v>58292026.799999997</v>
      </c>
      <c r="S10" s="2">
        <f t="shared" si="18"/>
        <v>229202.6799999997</v>
      </c>
      <c r="T10" s="2">
        <f t="shared" si="19"/>
        <v>4163716.2</v>
      </c>
      <c r="U10" s="8"/>
      <c r="V10" s="11">
        <f t="shared" si="11"/>
        <v>55088741.119999997</v>
      </c>
      <c r="W10" s="2">
        <f>Q10/12</f>
        <v>4956805</v>
      </c>
      <c r="X10" s="2">
        <f t="shared" ref="X10" si="20">IF(Q10*2&gt;125392500,Q10/12,IF(Q10*2&lt;125392500,(Q10*2)/12,0))</f>
        <v>9913610</v>
      </c>
      <c r="Y10" s="2">
        <f t="shared" ref="Y10" si="21">IF((W10-O10)&gt;292582850,67294055,IF(W10-Q10&lt;292582850,(Q10-O10)*23%))</f>
        <v>13680781.800000001</v>
      </c>
      <c r="Z10" s="2">
        <f t="shared" ref="Z10" si="22">Q10+SUM(W10:Y10)</f>
        <v>88032856.799999997</v>
      </c>
    </row>
    <row r="11" spans="1:26" ht="22.5" x14ac:dyDescent="0.6">
      <c r="A11" s="9"/>
      <c r="B11" s="9"/>
      <c r="C11" s="9"/>
      <c r="D11" s="9"/>
      <c r="E11" s="33"/>
      <c r="F11" s="34"/>
      <c r="G11" s="34"/>
      <c r="H11" s="34"/>
      <c r="I11" s="35"/>
      <c r="J11" s="10">
        <f t="shared" ref="J11:Z11" si="23">SUM(J4:J10)</f>
        <v>351449460</v>
      </c>
      <c r="K11" s="10">
        <f t="shared" si="23"/>
        <v>43166641.5</v>
      </c>
      <c r="L11" s="10">
        <f t="shared" si="23"/>
        <v>5863352.96</v>
      </c>
      <c r="M11" s="10">
        <f t="shared" si="23"/>
        <v>0</v>
      </c>
      <c r="N11" s="10">
        <f t="shared" si="23"/>
        <v>60500000</v>
      </c>
      <c r="O11" s="10">
        <f t="shared" si="23"/>
        <v>5308284</v>
      </c>
      <c r="P11" s="10">
        <f t="shared" si="23"/>
        <v>45500000</v>
      </c>
      <c r="Q11" s="10">
        <f t="shared" si="23"/>
        <v>650142364</v>
      </c>
      <c r="R11" s="10">
        <f t="shared" si="23"/>
        <v>592948349.60000002</v>
      </c>
      <c r="S11" s="10">
        <f t="shared" si="23"/>
        <v>18004971.359999999</v>
      </c>
      <c r="T11" s="10">
        <f t="shared" si="23"/>
        <v>44766987.400000006</v>
      </c>
      <c r="U11" s="12">
        <f t="shared" si="23"/>
        <v>0</v>
      </c>
      <c r="V11" s="11">
        <f t="shared" si="23"/>
        <v>587370405.24000001</v>
      </c>
      <c r="W11" s="10">
        <f t="shared" si="23"/>
        <v>54178530.333333328</v>
      </c>
      <c r="X11" s="10">
        <f t="shared" si="23"/>
        <v>69048947</v>
      </c>
      <c r="Y11" s="10">
        <f t="shared" si="23"/>
        <v>148311838.40000004</v>
      </c>
      <c r="Z11" s="10">
        <f t="shared" si="23"/>
        <v>921681679.73333323</v>
      </c>
    </row>
    <row r="13" spans="1:26" x14ac:dyDescent="0.25">
      <c r="F13" s="15" t="s">
        <v>37</v>
      </c>
      <c r="G13" s="15" t="s">
        <v>38</v>
      </c>
    </row>
    <row r="14" spans="1:26" x14ac:dyDescent="0.25">
      <c r="F14" s="15"/>
    </row>
    <row r="15" spans="1:26" x14ac:dyDescent="0.25">
      <c r="F15" s="15"/>
    </row>
    <row r="16" spans="1:26" ht="18" x14ac:dyDescent="0.25">
      <c r="F16" s="15"/>
      <c r="P16" s="7"/>
      <c r="Q16" s="13"/>
    </row>
    <row r="17" spans="6:17" ht="18" x14ac:dyDescent="0.25">
      <c r="P17" s="7"/>
      <c r="Q17" s="13"/>
    </row>
    <row r="18" spans="6:17" ht="18" x14ac:dyDescent="0.25">
      <c r="P18" s="7"/>
      <c r="Q18" s="13"/>
    </row>
    <row r="19" spans="6:17" ht="18" x14ac:dyDescent="0.25">
      <c r="P19" s="7"/>
      <c r="Q19" s="13"/>
    </row>
    <row r="20" spans="6:17" ht="18" x14ac:dyDescent="0.25">
      <c r="P20" s="7"/>
      <c r="Q20" s="13"/>
    </row>
    <row r="21" spans="6:17" ht="18" x14ac:dyDescent="0.25">
      <c r="P21" s="7"/>
      <c r="Q21" s="13"/>
    </row>
    <row r="22" spans="6:17" ht="18" x14ac:dyDescent="0.25">
      <c r="P22" s="7"/>
      <c r="Q22" s="13"/>
    </row>
    <row r="23" spans="6:17" x14ac:dyDescent="0.25">
      <c r="F23" s="16"/>
    </row>
    <row r="24" spans="6:17" x14ac:dyDescent="0.25">
      <c r="F24" s="15"/>
    </row>
    <row r="25" spans="6:17" x14ac:dyDescent="0.25">
      <c r="F25" s="15"/>
    </row>
    <row r="26" spans="6:17" x14ac:dyDescent="0.25">
      <c r="F26" s="15"/>
    </row>
    <row r="27" spans="6:17" x14ac:dyDescent="0.25">
      <c r="F27" s="15"/>
    </row>
    <row r="28" spans="6:17" x14ac:dyDescent="0.25">
      <c r="F28" s="15"/>
    </row>
    <row r="29" spans="6:17" x14ac:dyDescent="0.25">
      <c r="F29" s="15"/>
    </row>
    <row r="30" spans="6:17" x14ac:dyDescent="0.25">
      <c r="F30" s="15"/>
    </row>
  </sheetData>
  <autoFilter ref="E3:I11" xr:uid="{00000000-0009-0000-0000-000000000000}"/>
  <mergeCells count="15">
    <mergeCell ref="W2:W3"/>
    <mergeCell ref="X2:X3"/>
    <mergeCell ref="V2:V3"/>
    <mergeCell ref="Y2:Y3"/>
    <mergeCell ref="Z2:Z3"/>
    <mergeCell ref="H2:H3"/>
    <mergeCell ref="G2:G3"/>
    <mergeCell ref="F2:F3"/>
    <mergeCell ref="E11:I11"/>
    <mergeCell ref="E2:E3"/>
    <mergeCell ref="R2:R3"/>
    <mergeCell ref="Q2:Q3"/>
    <mergeCell ref="J2:P2"/>
    <mergeCell ref="S2:U2"/>
    <mergeCell ref="I2:I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8CE80-6FBB-427F-A9D2-C71FD4B59058}">
  <dimension ref="A1:AE31"/>
  <sheetViews>
    <sheetView rightToLeft="1" tabSelected="1" view="pageBreakPreview" topLeftCell="J1" zoomScale="85" zoomScaleNormal="55" zoomScaleSheetLayoutView="85" workbookViewId="0">
      <selection activeCell="AA1" sqref="AA1"/>
    </sheetView>
  </sheetViews>
  <sheetFormatPr defaultColWidth="8.85546875" defaultRowHeight="15" x14ac:dyDescent="0.25"/>
  <cols>
    <col min="1" max="1" width="5.85546875" hidden="1" customWidth="1"/>
    <col min="2" max="2" width="10.42578125" hidden="1" customWidth="1"/>
    <col min="3" max="3" width="11" hidden="1" customWidth="1"/>
    <col min="4" max="4" width="11.42578125" hidden="1" customWidth="1"/>
    <col min="5" max="5" width="4.140625" customWidth="1"/>
    <col min="6" max="6" width="13.85546875" bestFit="1" customWidth="1"/>
    <col min="7" max="7" width="12.42578125" bestFit="1" customWidth="1"/>
    <col min="8" max="8" width="7.85546875" bestFit="1" customWidth="1"/>
    <col min="9" max="9" width="11.140625" bestFit="1" customWidth="1"/>
    <col min="10" max="11" width="11.140625" customWidth="1"/>
    <col min="12" max="12" width="17.5703125" customWidth="1"/>
    <col min="13" max="14" width="11.85546875" customWidth="1"/>
    <col min="15" max="16" width="12.85546875" customWidth="1"/>
    <col min="17" max="17" width="13.5703125" customWidth="1"/>
    <col min="18" max="18" width="12.42578125" customWidth="1"/>
    <col min="19" max="19" width="12.85546875" customWidth="1"/>
    <col min="20" max="20" width="10.7109375" bestFit="1" customWidth="1"/>
    <col min="21" max="21" width="10.7109375" customWidth="1"/>
    <col min="22" max="22" width="9.42578125" customWidth="1"/>
    <col min="23" max="23" width="15.85546875" customWidth="1"/>
    <col min="24" max="24" width="13.140625" customWidth="1"/>
    <col min="25" max="25" width="11.5703125" bestFit="1" customWidth="1"/>
    <col min="26" max="26" width="10.5703125" bestFit="1" customWidth="1"/>
    <col min="30" max="31" width="0" hidden="1" customWidth="1"/>
  </cols>
  <sheetData>
    <row r="1" spans="1:31" ht="48" x14ac:dyDescent="1.25">
      <c r="A1" s="81" t="s">
        <v>62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</row>
    <row r="2" spans="1:31" ht="77.25" customHeight="1" thickBot="1" x14ac:dyDescent="0.3">
      <c r="A2" s="82" t="s">
        <v>65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3" t="s">
        <v>63</v>
      </c>
      <c r="N2" s="83"/>
      <c r="O2" s="83"/>
      <c r="P2" s="83"/>
      <c r="Q2" s="83"/>
      <c r="R2" s="83"/>
      <c r="S2" s="82" t="s">
        <v>64</v>
      </c>
      <c r="T2" s="82"/>
      <c r="U2" s="82"/>
      <c r="V2" s="82"/>
      <c r="W2" s="82"/>
      <c r="X2" s="82"/>
      <c r="Y2" s="82"/>
      <c r="Z2" s="82"/>
    </row>
    <row r="3" spans="1:31" s="1" customFormat="1" ht="35.25" customHeight="1" thickBot="1" x14ac:dyDescent="0.3">
      <c r="A3" s="3"/>
      <c r="B3" s="3"/>
      <c r="C3" s="3"/>
      <c r="D3" s="3"/>
      <c r="E3" s="36" t="s">
        <v>0</v>
      </c>
      <c r="F3" s="31" t="s">
        <v>1</v>
      </c>
      <c r="G3" s="31" t="s">
        <v>2</v>
      </c>
      <c r="H3" s="31" t="s">
        <v>20</v>
      </c>
      <c r="I3" s="51" t="s">
        <v>31</v>
      </c>
      <c r="J3" s="41" t="s">
        <v>41</v>
      </c>
      <c r="K3" s="42"/>
      <c r="L3" s="42"/>
      <c r="M3" s="42"/>
      <c r="N3" s="25" t="s">
        <v>49</v>
      </c>
      <c r="O3" s="84" t="s">
        <v>61</v>
      </c>
      <c r="P3" s="26">
        <f>VLOOKUP(O3,AD4:AE15,2,0)</f>
        <v>29</v>
      </c>
      <c r="Q3" s="43" t="s">
        <v>39</v>
      </c>
      <c r="R3" s="44" t="s">
        <v>28</v>
      </c>
      <c r="S3" s="46" t="s">
        <v>29</v>
      </c>
      <c r="T3" s="47"/>
      <c r="U3" s="47"/>
      <c r="V3" s="48"/>
      <c r="W3" s="49" t="s">
        <v>48</v>
      </c>
      <c r="X3" s="39" t="s">
        <v>23</v>
      </c>
      <c r="Y3" s="39" t="s">
        <v>46</v>
      </c>
      <c r="Z3" s="39" t="s">
        <v>47</v>
      </c>
    </row>
    <row r="4" spans="1:31" s="1" customFormat="1" ht="39.75" thickBot="1" x14ac:dyDescent="0.3">
      <c r="A4" s="3"/>
      <c r="B4" s="3"/>
      <c r="C4" s="3"/>
      <c r="D4" s="3"/>
      <c r="E4" s="37"/>
      <c r="F4" s="31"/>
      <c r="G4" s="31"/>
      <c r="H4" s="31"/>
      <c r="I4" s="51"/>
      <c r="J4" s="20" t="s">
        <v>43</v>
      </c>
      <c r="K4" s="19" t="s">
        <v>44</v>
      </c>
      <c r="L4" s="20" t="s">
        <v>24</v>
      </c>
      <c r="M4" s="19" t="s">
        <v>32</v>
      </c>
      <c r="N4" s="19" t="s">
        <v>45</v>
      </c>
      <c r="O4" s="19" t="s">
        <v>8</v>
      </c>
      <c r="P4" s="21" t="s">
        <v>9</v>
      </c>
      <c r="Q4" s="40"/>
      <c r="R4" s="45"/>
      <c r="S4" s="22" t="s">
        <v>27</v>
      </c>
      <c r="T4" s="23" t="s">
        <v>25</v>
      </c>
      <c r="U4" s="23" t="s">
        <v>42</v>
      </c>
      <c r="V4" s="24" t="s">
        <v>30</v>
      </c>
      <c r="W4" s="50"/>
      <c r="X4" s="40"/>
      <c r="Y4" s="40"/>
      <c r="Z4" s="40"/>
      <c r="AD4" s="28" t="s">
        <v>50</v>
      </c>
      <c r="AE4" s="28">
        <v>31</v>
      </c>
    </row>
    <row r="5" spans="1:31" ht="22.5" x14ac:dyDescent="0.6">
      <c r="A5" s="2"/>
      <c r="B5" s="2"/>
      <c r="C5" s="2"/>
      <c r="D5" s="2"/>
      <c r="E5" s="2">
        <v>1</v>
      </c>
      <c r="F5" s="52"/>
      <c r="G5" s="52"/>
      <c r="H5" s="53">
        <v>1</v>
      </c>
      <c r="I5" s="54">
        <v>23</v>
      </c>
      <c r="J5" s="55">
        <v>29</v>
      </c>
      <c r="K5" s="53">
        <v>1700000</v>
      </c>
      <c r="L5" s="63">
        <f>K5*J5</f>
        <v>49300000</v>
      </c>
      <c r="M5" s="64">
        <f>(((K5)/7.33)*1.4)*I5</f>
        <v>7467939.9727148712</v>
      </c>
      <c r="N5" s="64">
        <f>IF(J5=$P$3,11000000,(J5/$P$3*11000000))</f>
        <v>11000000</v>
      </c>
      <c r="O5" s="64">
        <f>IF(J5=$P$3,5308284*H5,((J5/$P$3)*(5308284*H5)))</f>
        <v>5308284</v>
      </c>
      <c r="P5" s="65">
        <f>IF(J5=$P$3,9000000,(J5/$P$3*9000000))</f>
        <v>9000000</v>
      </c>
      <c r="Q5" s="66">
        <f>P5+O5+N5+M5+L5</f>
        <v>82076223.972714871</v>
      </c>
      <c r="R5" s="67">
        <f>IF((Q5-(T5)-U5)&lt;0,0,Q5-(T5)-U5)</f>
        <v>76702468.17462483</v>
      </c>
      <c r="S5" s="64">
        <f>IF(R5&lt;=100000000,0,IF(R5&lt;=140000000,(R5-100000000)*0.1,IF(R5&lt;=230000000,((R5-140000000)*0.15)+(40000000*0.1),IF(R5&lt;=340000000,((R5-230000000)*0.2)+(90000000*0.15)+(40000000*0.1),IF(R5&gt;=340000000,((R5-340000000)*0.3)+(110000000*0.2)+(90000000*0.15)+(40000000*0.1))))))</f>
        <v>0</v>
      </c>
      <c r="T5" s="64">
        <f>IF((Q5-O5)&gt;292582850,20480800,IF((Q5-O5)&lt;292582850,(Q5-O5)*7%))</f>
        <v>5373755.7980900416</v>
      </c>
      <c r="U5" s="53">
        <v>0</v>
      </c>
      <c r="V5" s="61"/>
      <c r="W5" s="69">
        <f>Q5-S5-T5-U5-V5</f>
        <v>76702468.17462483</v>
      </c>
      <c r="X5" s="70">
        <f>IF((Q5-O5)&gt;371579880,85463372,IF(Q5-O5&lt;292582850,(Q5-O5)*20%))</f>
        <v>15353587.994542975</v>
      </c>
      <c r="Y5" s="70">
        <f t="shared" ref="Y5:Y13" si="0">IF((Q5-O5)&gt;371579880,85463372,IF(Q5-O5&lt;292582850,(Q5-O5)*3%))</f>
        <v>2303038.1991814459</v>
      </c>
      <c r="Z5" s="70">
        <f t="shared" ref="Z5:Z13" si="1">Y5+X5+T5</f>
        <v>23030381.991814461</v>
      </c>
      <c r="AD5" s="28" t="s">
        <v>51</v>
      </c>
      <c r="AE5" s="28">
        <v>31</v>
      </c>
    </row>
    <row r="6" spans="1:31" ht="22.5" x14ac:dyDescent="0.6">
      <c r="A6" s="2"/>
      <c r="B6" s="2"/>
      <c r="C6" s="2"/>
      <c r="D6" s="2"/>
      <c r="E6" s="2">
        <v>2</v>
      </c>
      <c r="F6" s="52"/>
      <c r="G6" s="52"/>
      <c r="H6" s="53">
        <v>0</v>
      </c>
      <c r="I6" s="54">
        <v>0</v>
      </c>
      <c r="J6" s="55"/>
      <c r="K6" s="53"/>
      <c r="L6" s="63">
        <f t="shared" ref="L6:L13" si="2">K6*J6</f>
        <v>0</v>
      </c>
      <c r="M6" s="64">
        <f t="shared" ref="M6:M13" si="3">(((K6)/7.33)*1.4)*I6</f>
        <v>0</v>
      </c>
      <c r="N6" s="64">
        <f t="shared" ref="N6:N13" si="4">IF(J6=$P$3,11000000,(J6/$P$3*11000000))</f>
        <v>0</v>
      </c>
      <c r="O6" s="64">
        <f t="shared" ref="O6:O13" si="5">IF(J6=$P$3,5308284*H6,((J6/$P$3)*(5308284*H6)))</f>
        <v>0</v>
      </c>
      <c r="P6" s="65">
        <f t="shared" ref="P6:P13" si="6">IF(J6=$P$3,9000000,(J6/$P$3*9000000))</f>
        <v>0</v>
      </c>
      <c r="Q6" s="66">
        <f t="shared" ref="Q6:Q13" si="7">P6+O6+N6+M6+L6</f>
        <v>0</v>
      </c>
      <c r="R6" s="68">
        <f t="shared" ref="R6:R13" si="8">IF((Q6-(T6)-U6)&lt;0,0,Q6-(T6)-U6)</f>
        <v>0</v>
      </c>
      <c r="S6" s="64">
        <f t="shared" ref="S6:S12" si="9">IF(R6&lt;=100000000,0,IF(R6&lt;=140000000,(R6-100000000)*0.1,IF(R6&lt;=230000000,((R6-140000000)*0.15)+(40000000*0.1),IF(R6&lt;=340000000,((R6-230000000)*0.2)+(90000000*0.15)+(40000000*0.1),IF(R6&gt;=340000000,((R6-340000000)*0.3)+(110000000*0.2)+(90000000*0.15)+(40000000*0.1))))))</f>
        <v>0</v>
      </c>
      <c r="T6" s="64">
        <f t="shared" ref="T6:T13" si="10">IF((Q6-O6)&gt;292582850,20480800,IF((Q6-O6)&lt;292582850,(Q6-O6)*7%))</f>
        <v>0</v>
      </c>
      <c r="U6" s="53">
        <v>0</v>
      </c>
      <c r="V6" s="61"/>
      <c r="W6" s="69">
        <f t="shared" ref="W6:W13" si="11">Q6-S6-T6-U6-V6</f>
        <v>0</v>
      </c>
      <c r="X6" s="64">
        <f t="shared" ref="X6:X13" si="12">IF((Q6-O6)&gt;371579880,85463372,IF(Q6-O6&lt;292582850,(Q6-O6)*23%))</f>
        <v>0</v>
      </c>
      <c r="Y6" s="64">
        <f t="shared" si="0"/>
        <v>0</v>
      </c>
      <c r="Z6" s="64">
        <f t="shared" si="1"/>
        <v>0</v>
      </c>
      <c r="AD6" s="28" t="s">
        <v>52</v>
      </c>
      <c r="AE6" s="28">
        <v>31</v>
      </c>
    </row>
    <row r="7" spans="1:31" ht="22.5" x14ac:dyDescent="0.6">
      <c r="A7" s="2"/>
      <c r="B7" s="2"/>
      <c r="C7" s="2"/>
      <c r="D7" s="2"/>
      <c r="E7" s="2">
        <v>3</v>
      </c>
      <c r="F7" s="52"/>
      <c r="G7" s="52"/>
      <c r="H7" s="53">
        <v>0</v>
      </c>
      <c r="I7" s="54">
        <v>0</v>
      </c>
      <c r="J7" s="55"/>
      <c r="K7" s="53"/>
      <c r="L7" s="63">
        <f t="shared" si="2"/>
        <v>0</v>
      </c>
      <c r="M7" s="64">
        <f t="shared" si="3"/>
        <v>0</v>
      </c>
      <c r="N7" s="64">
        <f t="shared" si="4"/>
        <v>0</v>
      </c>
      <c r="O7" s="64">
        <f t="shared" si="5"/>
        <v>0</v>
      </c>
      <c r="P7" s="65">
        <f t="shared" si="6"/>
        <v>0</v>
      </c>
      <c r="Q7" s="66">
        <f t="shared" si="7"/>
        <v>0</v>
      </c>
      <c r="R7" s="68">
        <f t="shared" si="8"/>
        <v>0</v>
      </c>
      <c r="S7" s="64">
        <f t="shared" si="9"/>
        <v>0</v>
      </c>
      <c r="T7" s="64">
        <f t="shared" si="10"/>
        <v>0</v>
      </c>
      <c r="U7" s="53">
        <v>0</v>
      </c>
      <c r="V7" s="61"/>
      <c r="W7" s="69">
        <f t="shared" si="11"/>
        <v>0</v>
      </c>
      <c r="X7" s="64">
        <f t="shared" si="12"/>
        <v>0</v>
      </c>
      <c r="Y7" s="64">
        <f t="shared" si="0"/>
        <v>0</v>
      </c>
      <c r="Z7" s="64">
        <f t="shared" si="1"/>
        <v>0</v>
      </c>
      <c r="AD7" s="28" t="s">
        <v>53</v>
      </c>
      <c r="AE7" s="28">
        <v>31</v>
      </c>
    </row>
    <row r="8" spans="1:31" ht="22.5" x14ac:dyDescent="0.6">
      <c r="A8" s="2"/>
      <c r="B8" s="2"/>
      <c r="C8" s="2"/>
      <c r="D8" s="2"/>
      <c r="E8" s="2">
        <v>4</v>
      </c>
      <c r="F8" s="52"/>
      <c r="G8" s="52"/>
      <c r="H8" s="53">
        <v>0</v>
      </c>
      <c r="I8" s="54">
        <v>0</v>
      </c>
      <c r="J8" s="55"/>
      <c r="K8" s="53"/>
      <c r="L8" s="63">
        <f t="shared" si="2"/>
        <v>0</v>
      </c>
      <c r="M8" s="64">
        <f t="shared" si="3"/>
        <v>0</v>
      </c>
      <c r="N8" s="64">
        <f t="shared" si="4"/>
        <v>0</v>
      </c>
      <c r="O8" s="64">
        <f t="shared" si="5"/>
        <v>0</v>
      </c>
      <c r="P8" s="65">
        <f t="shared" si="6"/>
        <v>0</v>
      </c>
      <c r="Q8" s="66">
        <f t="shared" si="7"/>
        <v>0</v>
      </c>
      <c r="R8" s="68">
        <f t="shared" si="8"/>
        <v>0</v>
      </c>
      <c r="S8" s="64">
        <f t="shared" si="9"/>
        <v>0</v>
      </c>
      <c r="T8" s="64">
        <f t="shared" si="10"/>
        <v>0</v>
      </c>
      <c r="U8" s="53">
        <v>0</v>
      </c>
      <c r="V8" s="61"/>
      <c r="W8" s="69">
        <f t="shared" si="11"/>
        <v>0</v>
      </c>
      <c r="X8" s="64">
        <f t="shared" si="12"/>
        <v>0</v>
      </c>
      <c r="Y8" s="64">
        <f t="shared" si="0"/>
        <v>0</v>
      </c>
      <c r="Z8" s="64">
        <f t="shared" si="1"/>
        <v>0</v>
      </c>
      <c r="AD8" s="28" t="s">
        <v>54</v>
      </c>
      <c r="AE8" s="28">
        <v>31</v>
      </c>
    </row>
    <row r="9" spans="1:31" ht="22.5" x14ac:dyDescent="0.6">
      <c r="A9" s="2"/>
      <c r="B9" s="2"/>
      <c r="C9" s="2"/>
      <c r="D9" s="2"/>
      <c r="E9" s="2">
        <v>5</v>
      </c>
      <c r="F9" s="52"/>
      <c r="G9" s="52"/>
      <c r="H9" s="53">
        <v>0</v>
      </c>
      <c r="I9" s="54">
        <v>0</v>
      </c>
      <c r="J9" s="55"/>
      <c r="K9" s="53"/>
      <c r="L9" s="63">
        <f t="shared" si="2"/>
        <v>0</v>
      </c>
      <c r="M9" s="64">
        <f t="shared" si="3"/>
        <v>0</v>
      </c>
      <c r="N9" s="64">
        <f t="shared" si="4"/>
        <v>0</v>
      </c>
      <c r="O9" s="64">
        <f t="shared" si="5"/>
        <v>0</v>
      </c>
      <c r="P9" s="65">
        <f t="shared" si="6"/>
        <v>0</v>
      </c>
      <c r="Q9" s="66">
        <f t="shared" si="7"/>
        <v>0</v>
      </c>
      <c r="R9" s="68">
        <f t="shared" si="8"/>
        <v>0</v>
      </c>
      <c r="S9" s="64">
        <f t="shared" si="9"/>
        <v>0</v>
      </c>
      <c r="T9" s="64">
        <f t="shared" si="10"/>
        <v>0</v>
      </c>
      <c r="U9" s="53">
        <v>0</v>
      </c>
      <c r="V9" s="61"/>
      <c r="W9" s="69">
        <f t="shared" si="11"/>
        <v>0</v>
      </c>
      <c r="X9" s="64">
        <f t="shared" si="12"/>
        <v>0</v>
      </c>
      <c r="Y9" s="64">
        <f t="shared" si="0"/>
        <v>0</v>
      </c>
      <c r="Z9" s="64">
        <f t="shared" si="1"/>
        <v>0</v>
      </c>
      <c r="AD9" s="28" t="s">
        <v>55</v>
      </c>
      <c r="AE9" s="28">
        <v>31</v>
      </c>
    </row>
    <row r="10" spans="1:31" ht="22.5" x14ac:dyDescent="0.6">
      <c r="A10" s="2"/>
      <c r="B10" s="2"/>
      <c r="C10" s="2"/>
      <c r="D10" s="2"/>
      <c r="E10" s="2">
        <v>6</v>
      </c>
      <c r="F10" s="52"/>
      <c r="G10" s="52"/>
      <c r="H10" s="53">
        <v>0</v>
      </c>
      <c r="I10" s="54">
        <v>0</v>
      </c>
      <c r="J10" s="55"/>
      <c r="K10" s="53"/>
      <c r="L10" s="63">
        <f t="shared" si="2"/>
        <v>0</v>
      </c>
      <c r="M10" s="64">
        <f t="shared" si="3"/>
        <v>0</v>
      </c>
      <c r="N10" s="64">
        <f t="shared" si="4"/>
        <v>0</v>
      </c>
      <c r="O10" s="64">
        <f t="shared" si="5"/>
        <v>0</v>
      </c>
      <c r="P10" s="65">
        <f t="shared" si="6"/>
        <v>0</v>
      </c>
      <c r="Q10" s="66">
        <f t="shared" si="7"/>
        <v>0</v>
      </c>
      <c r="R10" s="68">
        <f t="shared" si="8"/>
        <v>0</v>
      </c>
      <c r="S10" s="64">
        <f t="shared" si="9"/>
        <v>0</v>
      </c>
      <c r="T10" s="64">
        <f t="shared" si="10"/>
        <v>0</v>
      </c>
      <c r="U10" s="53">
        <v>0</v>
      </c>
      <c r="V10" s="61"/>
      <c r="W10" s="69">
        <f t="shared" si="11"/>
        <v>0</v>
      </c>
      <c r="X10" s="64">
        <f t="shared" si="12"/>
        <v>0</v>
      </c>
      <c r="Y10" s="64">
        <f t="shared" si="0"/>
        <v>0</v>
      </c>
      <c r="Z10" s="64">
        <f t="shared" si="1"/>
        <v>0</v>
      </c>
      <c r="AD10" s="28" t="s">
        <v>56</v>
      </c>
      <c r="AE10" s="28">
        <v>30</v>
      </c>
    </row>
    <row r="11" spans="1:31" ht="22.5" x14ac:dyDescent="0.6">
      <c r="A11" s="2"/>
      <c r="B11" s="2"/>
      <c r="C11" s="2"/>
      <c r="D11" s="2"/>
      <c r="E11" s="2">
        <v>7</v>
      </c>
      <c r="F11" s="52"/>
      <c r="G11" s="52"/>
      <c r="H11" s="53">
        <v>0</v>
      </c>
      <c r="I11" s="54">
        <v>0</v>
      </c>
      <c r="J11" s="55"/>
      <c r="K11" s="53"/>
      <c r="L11" s="63">
        <f t="shared" si="2"/>
        <v>0</v>
      </c>
      <c r="M11" s="64">
        <f t="shared" si="3"/>
        <v>0</v>
      </c>
      <c r="N11" s="64">
        <f t="shared" si="4"/>
        <v>0</v>
      </c>
      <c r="O11" s="64">
        <f t="shared" si="5"/>
        <v>0</v>
      </c>
      <c r="P11" s="65">
        <f t="shared" si="6"/>
        <v>0</v>
      </c>
      <c r="Q11" s="66">
        <f t="shared" si="7"/>
        <v>0</v>
      </c>
      <c r="R11" s="68">
        <f t="shared" si="8"/>
        <v>0</v>
      </c>
      <c r="S11" s="64">
        <f t="shared" ref="S11" si="13">IF(R11&lt;=100000000,0,IF(R11&lt;=140000000,(R11-100000000)*0.1,IF(R11&lt;=230000000,((R11-140000000)*0.15)+(40000000*0.1),IF(R11&lt;=340000000,((R11-230000000)*0.2)+(90000000*0.15)+(40000000*0.1),IF(R11&gt;=340000000,((R11-340000000)*0.3)+(110000000*0.2)+(90000000*0.15)+(40000000*0.1))))))</f>
        <v>0</v>
      </c>
      <c r="T11" s="64">
        <f t="shared" si="10"/>
        <v>0</v>
      </c>
      <c r="U11" s="53">
        <v>0</v>
      </c>
      <c r="V11" s="61"/>
      <c r="W11" s="69">
        <f t="shared" si="11"/>
        <v>0</v>
      </c>
      <c r="X11" s="64">
        <f t="shared" si="12"/>
        <v>0</v>
      </c>
      <c r="Y11" s="64">
        <f t="shared" si="0"/>
        <v>0</v>
      </c>
      <c r="Z11" s="64">
        <f t="shared" si="1"/>
        <v>0</v>
      </c>
      <c r="AD11" s="28" t="s">
        <v>57</v>
      </c>
      <c r="AE11" s="28">
        <v>30</v>
      </c>
    </row>
    <row r="12" spans="1:31" ht="22.5" x14ac:dyDescent="0.6">
      <c r="A12" s="2"/>
      <c r="B12" s="2"/>
      <c r="C12" s="2"/>
      <c r="D12" s="2"/>
      <c r="E12" s="2">
        <v>7</v>
      </c>
      <c r="F12" s="52"/>
      <c r="G12" s="52"/>
      <c r="H12" s="53">
        <v>0</v>
      </c>
      <c r="I12" s="54">
        <v>0</v>
      </c>
      <c r="J12" s="55"/>
      <c r="K12" s="53"/>
      <c r="L12" s="63">
        <f t="shared" si="2"/>
        <v>0</v>
      </c>
      <c r="M12" s="64">
        <f t="shared" si="3"/>
        <v>0</v>
      </c>
      <c r="N12" s="64">
        <f t="shared" si="4"/>
        <v>0</v>
      </c>
      <c r="O12" s="64">
        <f t="shared" si="5"/>
        <v>0</v>
      </c>
      <c r="P12" s="65">
        <f t="shared" si="6"/>
        <v>0</v>
      </c>
      <c r="Q12" s="66">
        <f t="shared" si="7"/>
        <v>0</v>
      </c>
      <c r="R12" s="68">
        <f t="shared" si="8"/>
        <v>0</v>
      </c>
      <c r="S12" s="64">
        <f t="shared" si="9"/>
        <v>0</v>
      </c>
      <c r="T12" s="64">
        <f t="shared" si="10"/>
        <v>0</v>
      </c>
      <c r="U12" s="53">
        <v>0</v>
      </c>
      <c r="V12" s="61"/>
      <c r="W12" s="69">
        <f t="shared" si="11"/>
        <v>0</v>
      </c>
      <c r="X12" s="64">
        <f t="shared" si="12"/>
        <v>0</v>
      </c>
      <c r="Y12" s="64">
        <f t="shared" si="0"/>
        <v>0</v>
      </c>
      <c r="Z12" s="64">
        <f t="shared" si="1"/>
        <v>0</v>
      </c>
      <c r="AD12" s="28" t="s">
        <v>58</v>
      </c>
      <c r="AE12" s="28">
        <v>30</v>
      </c>
    </row>
    <row r="13" spans="1:31" ht="23.25" thickBot="1" x14ac:dyDescent="0.65">
      <c r="A13" s="2"/>
      <c r="B13" s="2"/>
      <c r="C13" s="2"/>
      <c r="D13" s="2"/>
      <c r="E13" s="18">
        <v>8</v>
      </c>
      <c r="F13" s="56"/>
      <c r="G13" s="56"/>
      <c r="H13" s="57">
        <v>0</v>
      </c>
      <c r="I13" s="58">
        <v>0</v>
      </c>
      <c r="J13" s="59"/>
      <c r="K13" s="60"/>
      <c r="L13" s="63">
        <f t="shared" si="2"/>
        <v>0</v>
      </c>
      <c r="M13" s="64">
        <f t="shared" si="3"/>
        <v>0</v>
      </c>
      <c r="N13" s="64">
        <f t="shared" si="4"/>
        <v>0</v>
      </c>
      <c r="O13" s="64">
        <f t="shared" si="5"/>
        <v>0</v>
      </c>
      <c r="P13" s="65">
        <f t="shared" si="6"/>
        <v>0</v>
      </c>
      <c r="Q13" s="66">
        <f t="shared" si="7"/>
        <v>0</v>
      </c>
      <c r="R13" s="68">
        <f t="shared" si="8"/>
        <v>0</v>
      </c>
      <c r="S13" s="64">
        <f>IF(R13&lt;=100000000,0,IF(R13&lt;=140000000,(R13-100000000)*0.1,IF(R13&lt;=230000000,((R13-140000000)*0.15)+(40000000*0.1),IF(R13&lt;=340000000,((R13-230000000)*0.2)+(90000000*0.15)+(40000000*0.1),IF(R13&gt;=340000000,((R13-340000000)*0.3)+(110000000*0.2)+(90000000*0.15)+(40000000*0.1))))))</f>
        <v>0</v>
      </c>
      <c r="T13" s="64">
        <f t="shared" si="10"/>
        <v>0</v>
      </c>
      <c r="U13" s="57">
        <v>0</v>
      </c>
      <c r="V13" s="62"/>
      <c r="W13" s="69">
        <f t="shared" si="11"/>
        <v>0</v>
      </c>
      <c r="X13" s="64">
        <f t="shared" si="12"/>
        <v>0</v>
      </c>
      <c r="Y13" s="64">
        <f t="shared" si="0"/>
        <v>0</v>
      </c>
      <c r="Z13" s="64">
        <f t="shared" si="1"/>
        <v>0</v>
      </c>
      <c r="AD13" s="28" t="s">
        <v>59</v>
      </c>
      <c r="AE13" s="28">
        <v>30</v>
      </c>
    </row>
    <row r="14" spans="1:31" ht="23.25" thickBot="1" x14ac:dyDescent="0.65">
      <c r="A14" s="9"/>
      <c r="B14" s="9"/>
      <c r="C14" s="9"/>
      <c r="D14" s="17"/>
      <c r="E14" s="71" t="s">
        <v>40</v>
      </c>
      <c r="F14" s="72"/>
      <c r="G14" s="72"/>
      <c r="H14" s="72"/>
      <c r="I14" s="73"/>
      <c r="J14" s="74"/>
      <c r="K14" s="74"/>
      <c r="L14" s="75">
        <f t="shared" ref="L14:S14" si="14">SUM(L5:L13)</f>
        <v>49300000</v>
      </c>
      <c r="M14" s="76">
        <f t="shared" si="14"/>
        <v>7467939.9727148712</v>
      </c>
      <c r="N14" s="76">
        <f>SUM(N5:N13)</f>
        <v>11000000</v>
      </c>
      <c r="O14" s="77">
        <f>SUM(O5:O13)</f>
        <v>5308284</v>
      </c>
      <c r="P14" s="78">
        <f>SUM(P5:P13)</f>
        <v>9000000</v>
      </c>
      <c r="Q14" s="79">
        <f t="shared" si="14"/>
        <v>82076223.972714871</v>
      </c>
      <c r="R14" s="75">
        <f t="shared" si="14"/>
        <v>76702468.17462483</v>
      </c>
      <c r="S14" s="77">
        <f t="shared" si="14"/>
        <v>0</v>
      </c>
      <c r="T14" s="77">
        <f>SUM(T5:T12)</f>
        <v>5373755.7980900416</v>
      </c>
      <c r="U14" s="77">
        <f>SUM(U5:U13)</f>
        <v>0</v>
      </c>
      <c r="V14" s="77">
        <f>SUM(V5:V12)</f>
        <v>0</v>
      </c>
      <c r="W14" s="80">
        <f>SUM(W5:W13)</f>
        <v>76702468.17462483</v>
      </c>
      <c r="X14" s="77">
        <f>SUM(X5:X13)</f>
        <v>15353587.994542975</v>
      </c>
      <c r="Y14" s="77">
        <f>SUM(Y5:Y13)</f>
        <v>2303038.1991814459</v>
      </c>
      <c r="Z14" s="77">
        <f>SUM(Z5:Z13)</f>
        <v>23030381.991814461</v>
      </c>
      <c r="AD14" s="28" t="s">
        <v>60</v>
      </c>
      <c r="AE14" s="28">
        <v>30</v>
      </c>
    </row>
    <row r="15" spans="1:31" x14ac:dyDescent="0.25">
      <c r="AD15" s="28" t="s">
        <v>61</v>
      </c>
      <c r="AE15" s="28">
        <v>29</v>
      </c>
    </row>
    <row r="16" spans="1:31" x14ac:dyDescent="0.25">
      <c r="F16" s="15"/>
    </row>
    <row r="17" spans="6:7" x14ac:dyDescent="0.25">
      <c r="F17" s="15"/>
    </row>
    <row r="18" spans="6:7" x14ac:dyDescent="0.25">
      <c r="F18" s="27"/>
      <c r="G18" s="28"/>
    </row>
    <row r="31" spans="6:7" x14ac:dyDescent="0.25">
      <c r="F31" s="28"/>
      <c r="G31" s="28"/>
    </row>
  </sheetData>
  <sheetProtection algorithmName="SHA-512" hashValue="5wH8s3QafYAKNMbJr2BXahwP3x3Fgf/HUFkWSdMPEINpYCjHRM+opAAf9ek5NpDi66hgI3oNz5eDIb5EbQaAkA==" saltValue="rKr+52M0xahATzlkt8JhGg==" spinCount="100000" sheet="1" objects="1" scenarios="1"/>
  <mergeCells count="18">
    <mergeCell ref="A1:Z1"/>
    <mergeCell ref="M2:R2"/>
    <mergeCell ref="S2:Z2"/>
    <mergeCell ref="A2:L2"/>
    <mergeCell ref="Y3:Y4"/>
    <mergeCell ref="Z3:Z4"/>
    <mergeCell ref="J3:M3"/>
    <mergeCell ref="X3:X4"/>
    <mergeCell ref="E14:I14"/>
    <mergeCell ref="Q3:Q4"/>
    <mergeCell ref="R3:R4"/>
    <mergeCell ref="S3:V3"/>
    <mergeCell ref="W3:W4"/>
    <mergeCell ref="E3:E4"/>
    <mergeCell ref="F3:F4"/>
    <mergeCell ref="G3:G4"/>
    <mergeCell ref="H3:H4"/>
    <mergeCell ref="I3:I4"/>
  </mergeCells>
  <dataValidations count="1">
    <dataValidation type="list" allowBlank="1" showInputMessage="1" showErrorMessage="1" sqref="O3" xr:uid="{51DA7B54-20F6-468C-AB93-72353523BE14}">
      <formula1>$AD$4:$AD$15</formula1>
    </dataValidation>
  </dataValidations>
  <hyperlinks>
    <hyperlink ref="M2:R2" r:id="rId1" display="https://hesabnamaa.ir/" xr:uid="{93EEAC9C-B96F-46CD-A52C-1B490E2E755D}"/>
    <hyperlink ref="S2:Z2" r:id="rId2" display="https://t.me/hesabnamaa" xr:uid="{819E32FC-011E-48E8-9EDA-6BDBE6562DD6}"/>
    <hyperlink ref="A2:L2" r:id="rId3" display="https://www.instagram.com/hesabnama.ir/?utm_source=ig_web_button_share_sheet&amp;igshid=OGQ5ZDc2ODk2ZA==" xr:uid="{5DA8CFE4-97F3-48CB-9B09-023F700A5EBE}"/>
    <hyperlink ref="A2" r:id="rId4" xr:uid="{22222231-64B4-4036-B6C5-472D75CCAA5E}"/>
  </hyperlinks>
  <pageMargins left="0.7" right="0.7" top="0.75" bottom="0.75" header="0.3" footer="0.3"/>
  <pageSetup paperSize="9" scale="33" orientation="portrait" r:id="rId5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کارکنان1401</vt:lpstr>
      <vt:lpstr>کارکنان1402 </vt:lpstr>
      <vt:lpstr>'کارکنان1402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BONYAD-ACCOUNT</dc:creator>
  <cp:lastModifiedBy>Seyed Amir Aghilzade</cp:lastModifiedBy>
  <cp:lastPrinted>2022-03-28T10:31:26Z</cp:lastPrinted>
  <dcterms:created xsi:type="dcterms:W3CDTF">2015-06-05T18:17:20Z</dcterms:created>
  <dcterms:modified xsi:type="dcterms:W3CDTF">2023-11-01T14:03:11Z</dcterms:modified>
</cp:coreProperties>
</file>